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<sst xmlns="http://schemas.openxmlformats.org/spreadsheetml/2006/main" count="1600" uniqueCount="315">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</sst>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529757.39</v>
      </c>
      <c r="G8" s="18">
        <f aca="true" t="shared" si="0" ref="G8:G54">F8-E8</f>
        <v>26231.919999999984</v>
      </c>
      <c r="H8" s="45">
        <f>F8/E8*100</f>
        <v>105.20965106293431</v>
      </c>
      <c r="I8" s="31">
        <f aca="true" t="shared" si="1" ref="I8:I54">F8-D8</f>
        <v>-42531.609999999986</v>
      </c>
      <c r="J8" s="31">
        <f aca="true" t="shared" si="2" ref="J8:J14">F8/D8*100</f>
        <v>92.56815874496976</v>
      </c>
      <c r="K8" s="18">
        <f>K9+K15+K18+K19+K20+K32</f>
        <v>128532.548</v>
      </c>
      <c r="L8" s="18"/>
      <c r="M8" s="18">
        <f>M9+M15+M18+M19+M20+M32+M17</f>
        <v>44772.97000000001</v>
      </c>
      <c r="N8" s="18">
        <f>N9+N15+N18+N19+N20+N32+N17</f>
        <v>48878.140000000036</v>
      </c>
      <c r="O8" s="31">
        <f aca="true" t="shared" si="3" ref="O8:O54">N8-M8</f>
        <v>4105.170000000027</v>
      </c>
      <c r="P8" s="31">
        <f>F8/M8*100</f>
        <v>1183.2080605776205</v>
      </c>
      <c r="Q8" s="31">
        <f>N8-33748.16</f>
        <v>15129.980000000032</v>
      </c>
      <c r="R8" s="125">
        <f>N8/33748.16</f>
        <v>1.4483201454538568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290954.13</v>
      </c>
      <c r="G9" s="43">
        <f t="shared" si="0"/>
        <v>21089.01000000001</v>
      </c>
      <c r="H9" s="35">
        <f aca="true" t="shared" si="4" ref="H9:H32">F9/E9*100</f>
        <v>107.81464829541514</v>
      </c>
      <c r="I9" s="50">
        <f t="shared" si="1"/>
        <v>-21735.869999999995</v>
      </c>
      <c r="J9" s="50">
        <f t="shared" si="2"/>
        <v>93.04874796123957</v>
      </c>
      <c r="K9" s="132">
        <f>F9-316022.19/75*60</f>
        <v>38136.378</v>
      </c>
      <c r="L9" s="132">
        <f>F9/(316022.19/75*60)*100</f>
        <v>115.08453330444928</v>
      </c>
      <c r="M9" s="35">
        <f>E9-вересень!E9</f>
        <v>21250.570000000007</v>
      </c>
      <c r="N9" s="35">
        <f>F9-вересень!F9</f>
        <v>26578.72000000003</v>
      </c>
      <c r="O9" s="47">
        <f t="shared" si="3"/>
        <v>5328.150000000023</v>
      </c>
      <c r="P9" s="50">
        <f aca="true" t="shared" si="5" ref="P9:P32">N9/M9*100</f>
        <v>125.07297451315434</v>
      </c>
      <c r="Q9" s="132">
        <f>N9-26568.11</f>
        <v>10.610000000029686</v>
      </c>
      <c r="R9" s="133">
        <f>N9/26568.11</f>
        <v>1.000399350951198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257490.58</v>
      </c>
      <c r="G10" s="135">
        <f t="shared" si="0"/>
        <v>21529.75999999998</v>
      </c>
      <c r="H10" s="137">
        <f t="shared" si="4"/>
        <v>109.12429444854446</v>
      </c>
      <c r="I10" s="136">
        <f t="shared" si="1"/>
        <v>17080.579999999987</v>
      </c>
      <c r="J10" s="136">
        <f t="shared" si="2"/>
        <v>107.10477101618068</v>
      </c>
      <c r="K10" s="138">
        <f>F10-281171.58/75*60</f>
        <v>32553.31599999999</v>
      </c>
      <c r="L10" s="138">
        <f>F10/(281171.58/75*60)*100</f>
        <v>114.47217567294675</v>
      </c>
      <c r="M10" s="137">
        <f>E10-вересень!E10</f>
        <v>17470.570000000007</v>
      </c>
      <c r="N10" s="137">
        <f>F10-вересень!F10</f>
        <v>23554.099999999977</v>
      </c>
      <c r="O10" s="138">
        <f t="shared" si="3"/>
        <v>6083.52999999997</v>
      </c>
      <c r="P10" s="136">
        <f t="shared" si="5"/>
        <v>134.8215885343178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15694.96</v>
      </c>
      <c r="G11" s="135">
        <f t="shared" si="0"/>
        <v>-3222.9400000000023</v>
      </c>
      <c r="H11" s="137">
        <f t="shared" si="4"/>
        <v>82.96354246507275</v>
      </c>
      <c r="I11" s="136">
        <f t="shared" si="1"/>
        <v>-8005.040000000001</v>
      </c>
      <c r="J11" s="136">
        <f t="shared" si="2"/>
        <v>66.22345991561181</v>
      </c>
      <c r="K11" s="138">
        <f>F11-21169.22/75*60</f>
        <v>-1240.4160000000047</v>
      </c>
      <c r="L11" s="138">
        <f>F11/(21169.22/75*60)*100</f>
        <v>92.67559220415299</v>
      </c>
      <c r="M11" s="137">
        <f>E11-вересень!E11</f>
        <v>2130</v>
      </c>
      <c r="N11" s="137">
        <f>F11-вересень!F11</f>
        <v>1692.2699999999986</v>
      </c>
      <c r="O11" s="138">
        <f t="shared" si="3"/>
        <v>-437.7300000000014</v>
      </c>
      <c r="P11" s="136">
        <f t="shared" si="5"/>
        <v>79.44929577464782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4153.36</v>
      </c>
      <c r="G12" s="135">
        <f t="shared" si="0"/>
        <v>-295.6400000000003</v>
      </c>
      <c r="H12" s="137">
        <f t="shared" si="4"/>
        <v>93.35491121600359</v>
      </c>
      <c r="I12" s="136">
        <f t="shared" si="1"/>
        <v>-1646.6400000000003</v>
      </c>
      <c r="J12" s="136">
        <f t="shared" si="2"/>
        <v>71.6096551724138</v>
      </c>
      <c r="K12" s="138">
        <f>F12-5687.46/75*60</f>
        <v>-396.6080000000011</v>
      </c>
      <c r="L12" s="138">
        <f>F12/(5687.46*60)*100</f>
        <v>1.2171103913990895</v>
      </c>
      <c r="M12" s="137">
        <f>E12-вересень!E12</f>
        <v>540</v>
      </c>
      <c r="N12" s="137">
        <f>F12-вересень!F12</f>
        <v>408.7199999999998</v>
      </c>
      <c r="O12" s="138">
        <f t="shared" si="3"/>
        <v>-131.2800000000002</v>
      </c>
      <c r="P12" s="136">
        <f t="shared" si="5"/>
        <v>75.68888888888885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6052.26</v>
      </c>
      <c r="G13" s="135">
        <f t="shared" si="0"/>
        <v>-891.1399999999994</v>
      </c>
      <c r="H13" s="137">
        <f t="shared" si="4"/>
        <v>87.16565371431864</v>
      </c>
      <c r="I13" s="136">
        <f t="shared" si="1"/>
        <v>-2347.74</v>
      </c>
      <c r="J13" s="136">
        <f t="shared" si="2"/>
        <v>72.05071428571429</v>
      </c>
      <c r="K13" s="138">
        <f>F13-7878.81/75*60</f>
        <v>-250.78800000000047</v>
      </c>
      <c r="L13" s="138">
        <f>F13/(7878.81/75*60)*100</f>
        <v>96.02116309442668</v>
      </c>
      <c r="M13" s="137">
        <f>E13-вересень!E13</f>
        <v>720</v>
      </c>
      <c r="N13" s="137">
        <f>F13-вересень!F13</f>
        <v>322.02000000000044</v>
      </c>
      <c r="O13" s="138">
        <f t="shared" si="3"/>
        <v>-397.97999999999956</v>
      </c>
      <c r="P13" s="136">
        <f t="shared" si="5"/>
        <v>44.72500000000006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-606.6</v>
      </c>
      <c r="G15" s="43">
        <f t="shared" si="0"/>
        <v>-778</v>
      </c>
      <c r="H15" s="35"/>
      <c r="I15" s="50">
        <f t="shared" si="1"/>
        <v>-606.6</v>
      </c>
      <c r="J15" s="50" t="e">
        <f>F15/D15*100</f>
        <v>#DIV/0!</v>
      </c>
      <c r="K15" s="53">
        <f>F15-(-880.89)</f>
        <v>274.28999999999996</v>
      </c>
      <c r="L15" s="53">
        <f>F15/(-880.89)*100</f>
        <v>68.86217348363587</v>
      </c>
      <c r="M15" s="35">
        <f>E15-вересень!E15</f>
        <v>0</v>
      </c>
      <c r="N15" s="35">
        <f>F15-вересень!F15</f>
        <v>60.09000000000003</v>
      </c>
      <c r="O15" s="47">
        <f t="shared" si="3"/>
        <v>60.09000000000003</v>
      </c>
      <c r="P15" s="50"/>
      <c r="Q15" s="50">
        <f>N15-358.81</f>
        <v>-298.71999999999997</v>
      </c>
      <c r="R15" s="126">
        <f>N15/358.81</f>
        <v>0.16747024887823647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56050.44</v>
      </c>
      <c r="G19" s="43">
        <f t="shared" si="0"/>
        <v>-1472.3099999999977</v>
      </c>
      <c r="H19" s="35">
        <f t="shared" si="4"/>
        <v>97.44047355176865</v>
      </c>
      <c r="I19" s="50">
        <f t="shared" si="1"/>
        <v>-6159.559999999998</v>
      </c>
      <c r="J19" s="178">
        <f>F19/D19*100</f>
        <v>90.0987622568719</v>
      </c>
      <c r="K19" s="179">
        <f>F19-0</f>
        <v>56050.44</v>
      </c>
      <c r="L19" s="180"/>
      <c r="M19" s="35">
        <f>E19-вересень!E19</f>
        <v>6800</v>
      </c>
      <c r="N19" s="35">
        <f>F19-вересень!F19</f>
        <v>4581.57</v>
      </c>
      <c r="O19" s="47">
        <f t="shared" si="3"/>
        <v>-2218.4300000000003</v>
      </c>
      <c r="P19" s="50">
        <f t="shared" si="5"/>
        <v>67.3760294117647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177758.65</v>
      </c>
      <c r="G20" s="43">
        <f t="shared" si="0"/>
        <v>7564.75</v>
      </c>
      <c r="H20" s="35">
        <f t="shared" si="4"/>
        <v>104.44478327366609</v>
      </c>
      <c r="I20" s="50">
        <f t="shared" si="1"/>
        <v>-12111.350000000006</v>
      </c>
      <c r="J20" s="178">
        <f aca="true" t="shared" si="6" ref="J20:J46">F20/D20*100</f>
        <v>93.62124084900194</v>
      </c>
      <c r="K20" s="178">
        <f>K21+K25+K26+K27</f>
        <v>35853.08</v>
      </c>
      <c r="L20" s="136"/>
      <c r="M20" s="35">
        <f>E20-вересень!E20</f>
        <v>16715.5</v>
      </c>
      <c r="N20" s="35">
        <f>F20-вересень!F20</f>
        <v>17652.059999999998</v>
      </c>
      <c r="O20" s="47">
        <f t="shared" si="3"/>
        <v>936.5599999999977</v>
      </c>
      <c r="P20" s="50">
        <f t="shared" si="5"/>
        <v>105.60294337590857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96978.96</v>
      </c>
      <c r="G21" s="43">
        <f t="shared" si="0"/>
        <v>696.5600000000122</v>
      </c>
      <c r="H21" s="35">
        <f t="shared" si="4"/>
        <v>100.72345516937675</v>
      </c>
      <c r="I21" s="50">
        <f t="shared" si="1"/>
        <v>-13321.039999999994</v>
      </c>
      <c r="J21" s="178">
        <f t="shared" si="6"/>
        <v>87.92290117860382</v>
      </c>
      <c r="K21" s="178">
        <f>K22+K23+K24</f>
        <v>28275.12000000001</v>
      </c>
      <c r="L21" s="136"/>
      <c r="M21" s="35">
        <f>E21-вересень!E21</f>
        <v>10382</v>
      </c>
      <c r="N21" s="35">
        <f>F21-вересень!F21</f>
        <v>7999.640000000014</v>
      </c>
      <c r="O21" s="47">
        <f t="shared" si="3"/>
        <v>-2382.359999999986</v>
      </c>
      <c r="P21" s="50">
        <f t="shared" si="5"/>
        <v>77.05297630514364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11765.35</v>
      </c>
      <c r="G22" s="135">
        <f t="shared" si="0"/>
        <v>1119.9500000000007</v>
      </c>
      <c r="H22" s="137">
        <f t="shared" si="4"/>
        <v>110.52050650985403</v>
      </c>
      <c r="I22" s="136">
        <f t="shared" si="1"/>
        <v>1065.3500000000004</v>
      </c>
      <c r="J22" s="136">
        <f t="shared" si="6"/>
        <v>109.95654205607477</v>
      </c>
      <c r="K22" s="136">
        <f>F22-437</f>
        <v>11328.35</v>
      </c>
      <c r="L22" s="136">
        <f>F22/437*100</f>
        <v>2692.299771167048</v>
      </c>
      <c r="M22" s="137">
        <f>E22-вересень!E22</f>
        <v>1851</v>
      </c>
      <c r="N22" s="137">
        <f>F22-вересень!F22</f>
        <v>2633.67</v>
      </c>
      <c r="O22" s="138">
        <f t="shared" si="3"/>
        <v>782.6700000000001</v>
      </c>
      <c r="P22" s="136">
        <f t="shared" si="5"/>
        <v>142.28363047001622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3471.04</v>
      </c>
      <c r="G23" s="135">
        <f t="shared" si="0"/>
        <v>1379.04</v>
      </c>
      <c r="H23" s="137">
        <f t="shared" si="4"/>
        <v>165.91969407265773</v>
      </c>
      <c r="I23" s="136">
        <f t="shared" si="1"/>
        <v>1371.04</v>
      </c>
      <c r="J23" s="136">
        <f t="shared" si="6"/>
        <v>165.28761904761905</v>
      </c>
      <c r="K23" s="136">
        <f>F23-0</f>
        <v>3471.04</v>
      </c>
      <c r="L23" s="136"/>
      <c r="M23" s="137">
        <f>E23-вересень!E23</f>
        <v>305</v>
      </c>
      <c r="N23" s="137">
        <f>F23-вересень!F23</f>
        <v>137.40999999999985</v>
      </c>
      <c r="O23" s="138">
        <f t="shared" si="3"/>
        <v>-167.59000000000015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81742.57</v>
      </c>
      <c r="G24" s="135">
        <f t="shared" si="0"/>
        <v>-1802.429999999993</v>
      </c>
      <c r="H24" s="137">
        <f t="shared" si="4"/>
        <v>97.84256388772519</v>
      </c>
      <c r="I24" s="136">
        <f t="shared" si="1"/>
        <v>-15757.429999999993</v>
      </c>
      <c r="J24" s="136">
        <f t="shared" si="6"/>
        <v>83.83853333333334</v>
      </c>
      <c r="K24" s="224">
        <f>F24-68266.84</f>
        <v>13475.73000000001</v>
      </c>
      <c r="L24" s="224">
        <f>F24/68266.84*100</f>
        <v>119.73978874663015</v>
      </c>
      <c r="M24" s="137">
        <f>E24-вересень!E24</f>
        <v>8226</v>
      </c>
      <c r="N24" s="137">
        <f>F24-вересень!F24</f>
        <v>5228.560000000012</v>
      </c>
      <c r="O24" s="138">
        <f t="shared" si="3"/>
        <v>-2997.439999999988</v>
      </c>
      <c r="P24" s="136">
        <f t="shared" si="5"/>
        <v>63.56139071237554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60.48</v>
      </c>
      <c r="G25" s="43">
        <f t="shared" si="0"/>
        <v>8.979999999999997</v>
      </c>
      <c r="H25" s="35">
        <f t="shared" si="4"/>
        <v>117.43689320388349</v>
      </c>
      <c r="I25" s="50">
        <f t="shared" si="1"/>
        <v>-9.520000000000003</v>
      </c>
      <c r="J25" s="178">
        <f t="shared" si="6"/>
        <v>86.4</v>
      </c>
      <c r="K25" s="178">
        <f>F25-48.79</f>
        <v>11.689999999999998</v>
      </c>
      <c r="L25" s="178">
        <f>F25/48.79*100</f>
        <v>123.95982783357245</v>
      </c>
      <c r="M25" s="35">
        <f>E25-вересень!E25</f>
        <v>10</v>
      </c>
      <c r="N25" s="35">
        <f>F25-вересень!F25</f>
        <v>4.6299999999999955</v>
      </c>
      <c r="O25" s="47">
        <f t="shared" si="3"/>
        <v>-5.3700000000000045</v>
      </c>
      <c r="P25" s="50">
        <f t="shared" si="5"/>
        <v>46.299999999999955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-738.02</v>
      </c>
      <c r="G26" s="43">
        <f t="shared" si="0"/>
        <v>-738.02</v>
      </c>
      <c r="H26" s="35"/>
      <c r="I26" s="50">
        <f t="shared" si="1"/>
        <v>-738.02</v>
      </c>
      <c r="J26" s="136"/>
      <c r="K26" s="178">
        <f>F26-5295.66</f>
        <v>-6033.68</v>
      </c>
      <c r="L26" s="178">
        <f>F26/5295.66*100</f>
        <v>-13.936317663898363</v>
      </c>
      <c r="M26" s="35">
        <f>E26-вересень!E26</f>
        <v>0</v>
      </c>
      <c r="N26" s="35">
        <f>F26-вересень!F26</f>
        <v>-32.039999999999964</v>
      </c>
      <c r="O26" s="47">
        <f t="shared" si="3"/>
        <v>-32.039999999999964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81457.23</v>
      </c>
      <c r="G27" s="43">
        <f t="shared" si="0"/>
        <v>7597.229999999996</v>
      </c>
      <c r="H27" s="35">
        <f t="shared" si="4"/>
        <v>110.28598700243704</v>
      </c>
      <c r="I27" s="50">
        <f t="shared" si="1"/>
        <v>1957.229999999996</v>
      </c>
      <c r="J27" s="178">
        <f t="shared" si="6"/>
        <v>102.46192452830188</v>
      </c>
      <c r="K27" s="132">
        <f>F27-67857.28</f>
        <v>13599.949999999997</v>
      </c>
      <c r="L27" s="132">
        <f>F27/67857.28*100</f>
        <v>120.04199107302856</v>
      </c>
      <c r="M27" s="35">
        <f>E27-вересень!E27</f>
        <v>6323.5</v>
      </c>
      <c r="N27" s="35">
        <f>F27-вересень!F27</f>
        <v>9679.830000000002</v>
      </c>
      <c r="O27" s="47">
        <f t="shared" si="3"/>
        <v>3356.3300000000017</v>
      </c>
      <c r="P27" s="50">
        <f t="shared" si="5"/>
        <v>153.0770933818297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19346.55</v>
      </c>
      <c r="G29" s="135">
        <f t="shared" si="0"/>
        <v>1266.5499999999993</v>
      </c>
      <c r="H29" s="137">
        <f t="shared" si="4"/>
        <v>107.00525442477876</v>
      </c>
      <c r="I29" s="136">
        <f t="shared" si="1"/>
        <v>146.54999999999927</v>
      </c>
      <c r="J29" s="136">
        <f t="shared" si="6"/>
        <v>100.76328125</v>
      </c>
      <c r="K29" s="139">
        <f>F29-18415.97</f>
        <v>930.5799999999981</v>
      </c>
      <c r="L29" s="139">
        <f>F29/18415.97*100</f>
        <v>105.0531142264024</v>
      </c>
      <c r="M29" s="137">
        <f>E29-вересень!E29</f>
        <v>1300</v>
      </c>
      <c r="N29" s="137">
        <f>F29-вересень!F29</f>
        <v>1606.7900000000009</v>
      </c>
      <c r="O29" s="138">
        <f t="shared" si="3"/>
        <v>306.7900000000009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62089</v>
      </c>
      <c r="G30" s="135">
        <f t="shared" si="0"/>
        <v>6309</v>
      </c>
      <c r="H30" s="137">
        <f t="shared" si="4"/>
        <v>111.31050555754751</v>
      </c>
      <c r="I30" s="136">
        <f t="shared" si="1"/>
        <v>1789</v>
      </c>
      <c r="J30" s="136">
        <f t="shared" si="6"/>
        <v>102.96683250414593</v>
      </c>
      <c r="K30" s="139">
        <f>F30-49440.11</f>
        <v>12648.89</v>
      </c>
      <c r="L30" s="139">
        <f>F30/49440.11*100</f>
        <v>125.58426751073166</v>
      </c>
      <c r="M30" s="137">
        <f>E30-вересень!E30</f>
        <v>5023.5</v>
      </c>
      <c r="N30" s="137">
        <f>F30-вересень!F30</f>
        <v>8073.029999999999</v>
      </c>
      <c r="O30" s="138">
        <f t="shared" si="3"/>
        <v>3049.529999999999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22.86</v>
      </c>
      <c r="G31" s="135">
        <f t="shared" si="0"/>
        <v>22.86</v>
      </c>
      <c r="H31" s="137"/>
      <c r="I31" s="136">
        <f t="shared" si="1"/>
        <v>22.86</v>
      </c>
      <c r="J31" s="136"/>
      <c r="K31" s="139">
        <f>F31-0</f>
        <v>22.86</v>
      </c>
      <c r="L31" s="139"/>
      <c r="M31" s="137">
        <f>E31-вересень!E31</f>
        <v>0</v>
      </c>
      <c r="N31" s="137">
        <f>F31-вересень!F31</f>
        <v>0.019999999999999574</v>
      </c>
      <c r="O31" s="138">
        <f t="shared" si="3"/>
        <v>0.019999999999999574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5584.83</v>
      </c>
      <c r="G32" s="43">
        <f t="shared" si="0"/>
        <v>-174.47000000000025</v>
      </c>
      <c r="H32" s="35">
        <f t="shared" si="4"/>
        <v>96.97063879290886</v>
      </c>
      <c r="I32" s="50">
        <f t="shared" si="1"/>
        <v>-1915.17</v>
      </c>
      <c r="J32" s="178">
        <f t="shared" si="6"/>
        <v>74.4644</v>
      </c>
      <c r="K32" s="178">
        <f>F32-7378.96</f>
        <v>-1794.13</v>
      </c>
      <c r="L32" s="178">
        <f>F32/7378.96*100</f>
        <v>75.68586901135119</v>
      </c>
      <c r="M32" s="35">
        <f>E32-вересень!E32</f>
        <v>6.900000000000546</v>
      </c>
      <c r="N32" s="35">
        <f>F32-вересень!F32</f>
        <v>5.649999999999636</v>
      </c>
      <c r="O32" s="47">
        <f t="shared" si="3"/>
        <v>-1.2500000000009095</v>
      </c>
      <c r="P32" s="50">
        <f t="shared" si="5"/>
        <v>81.88405797100275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34918.97</v>
      </c>
      <c r="G33" s="44">
        <f t="shared" si="0"/>
        <v>2368.7000000000007</v>
      </c>
      <c r="H33" s="45">
        <f aca="true" t="shared" si="7" ref="H33:H38">F33/E33*100</f>
        <v>107.27705177253522</v>
      </c>
      <c r="I33" s="31">
        <f t="shared" si="1"/>
        <v>-720.5999999999985</v>
      </c>
      <c r="J33" s="31">
        <f t="shared" si="6"/>
        <v>97.97809008357845</v>
      </c>
      <c r="K33" s="18">
        <f>K34+K35+K36+K37+K38+K41+K42+K47+K48+K52+K40</f>
        <v>24134.8</v>
      </c>
      <c r="L33" s="18"/>
      <c r="M33" s="18">
        <f>M34+M35+M36+M37+M38+M41+M42+M47+M48+M52+M40+M39</f>
        <v>5900.27</v>
      </c>
      <c r="N33" s="18">
        <f>N34+N35+N36+N37+N38+N41+N42+N47+N48+N52+N40+N39</f>
        <v>6674.339999999999</v>
      </c>
      <c r="O33" s="49">
        <f t="shared" si="3"/>
        <v>774.0699999999988</v>
      </c>
      <c r="P33" s="31">
        <f>N33/M33*100</f>
        <v>113.1192301369259</v>
      </c>
      <c r="Q33" s="31">
        <f>N33-1017.63</f>
        <v>5656.709999999999</v>
      </c>
      <c r="R33" s="127">
        <f>N33/1017.63</f>
        <v>6.558709943692697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8317.07</v>
      </c>
      <c r="G40" s="43">
        <f t="shared" si="0"/>
        <v>-519.9300000000003</v>
      </c>
      <c r="H40" s="35">
        <f aca="true" t="shared" si="8" ref="H40:H46">F40/E40*100</f>
        <v>94.11644223152653</v>
      </c>
      <c r="I40" s="50">
        <f t="shared" si="1"/>
        <v>-682.9300000000003</v>
      </c>
      <c r="J40" s="50"/>
      <c r="K40" s="50">
        <f>F40-0</f>
        <v>8317.07</v>
      </c>
      <c r="L40" s="50"/>
      <c r="M40" s="35">
        <f>E40-вересень!E40</f>
        <v>900</v>
      </c>
      <c r="N40" s="35">
        <f>F40-вересень!F40</f>
        <v>711.6099999999997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6134.59</v>
      </c>
      <c r="G42" s="43">
        <f t="shared" si="0"/>
        <v>-256.71000000000004</v>
      </c>
      <c r="H42" s="35">
        <f t="shared" si="8"/>
        <v>95.98344624724234</v>
      </c>
      <c r="I42" s="50">
        <f t="shared" si="1"/>
        <v>-965.4099999999999</v>
      </c>
      <c r="J42" s="50">
        <f t="shared" si="6"/>
        <v>86.40267605633804</v>
      </c>
      <c r="K42" s="50">
        <f>F42-865.17</f>
        <v>5269.42</v>
      </c>
      <c r="L42" s="50">
        <f>F42/865.17*100</f>
        <v>709.0618028826705</v>
      </c>
      <c r="M42" s="35">
        <f>E42-вересень!E42</f>
        <v>592.3000000000002</v>
      </c>
      <c r="N42" s="35">
        <f>F42-вересень!F42</f>
        <v>412.6400000000003</v>
      </c>
      <c r="O42" s="47">
        <f t="shared" si="3"/>
        <v>-179.65999999999985</v>
      </c>
      <c r="P42" s="50">
        <f>N42/M42*100</f>
        <v>69.66739827789975</v>
      </c>
      <c r="Q42" s="50">
        <f>N42-79.51</f>
        <v>333.13000000000034</v>
      </c>
      <c r="R42" s="126">
        <f>N42/79.51</f>
        <v>5.189787448119737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866.18</v>
      </c>
      <c r="G43" s="135">
        <f t="shared" si="0"/>
        <v>-43.82000000000005</v>
      </c>
      <c r="H43" s="35">
        <f t="shared" si="8"/>
        <v>95.18461538461538</v>
      </c>
      <c r="I43" s="136">
        <f t="shared" si="1"/>
        <v>-233.82000000000005</v>
      </c>
      <c r="J43" s="136">
        <f t="shared" si="6"/>
        <v>78.74363636363636</v>
      </c>
      <c r="K43" s="136">
        <f>F43-757.36</f>
        <v>108.81999999999994</v>
      </c>
      <c r="L43" s="136">
        <f>F43/757.36*100</f>
        <v>114.36833210098236</v>
      </c>
      <c r="M43" s="137">
        <f>E43-вересень!E43</f>
        <v>70</v>
      </c>
      <c r="N43" s="137">
        <f>F43-вересень!F43</f>
        <v>64.33999999999992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5223.56</v>
      </c>
      <c r="G46" s="135">
        <f t="shared" si="0"/>
        <v>-186.4399999999996</v>
      </c>
      <c r="H46" s="35">
        <f t="shared" si="8"/>
        <v>96.55378927911275</v>
      </c>
      <c r="I46" s="136">
        <f t="shared" si="1"/>
        <v>-694.4399999999996</v>
      </c>
      <c r="J46" s="136">
        <f t="shared" si="6"/>
        <v>88.26563028050018</v>
      </c>
      <c r="K46" s="136">
        <f>F46-107.81</f>
        <v>5115.75</v>
      </c>
      <c r="L46" s="136">
        <f>F46/107.81*100</f>
        <v>4845.153510806048</v>
      </c>
      <c r="M46" s="137">
        <f>E46-вересень!E46</f>
        <v>512</v>
      </c>
      <c r="N46" s="137">
        <f>F46-вересень!F46</f>
        <v>348.27000000000044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3967.73</v>
      </c>
      <c r="G48" s="43">
        <f t="shared" si="0"/>
        <v>517.73</v>
      </c>
      <c r="H48" s="35">
        <f>F48/E48*100</f>
        <v>115.00666666666666</v>
      </c>
      <c r="I48" s="50">
        <f t="shared" si="1"/>
        <v>-232.26999999999998</v>
      </c>
      <c r="J48" s="50">
        <f>F48/D48*100</f>
        <v>94.46976190476191</v>
      </c>
      <c r="K48" s="50">
        <f>F48-3446.94</f>
        <v>520.79</v>
      </c>
      <c r="L48" s="50">
        <f>F48/3446.94*100</f>
        <v>115.10876313483844</v>
      </c>
      <c r="M48" s="35">
        <f>E48-вересень!E48</f>
        <v>360</v>
      </c>
      <c r="N48" s="35">
        <f>F48-вересень!F48</f>
        <v>396.2800000000002</v>
      </c>
      <c r="O48" s="47">
        <f t="shared" si="3"/>
        <v>36.2800000000002</v>
      </c>
      <c r="P48" s="50">
        <f aca="true" t="shared" si="9" ref="P48:P53">N48/M48*100</f>
        <v>110.07777777777783</v>
      </c>
      <c r="Q48" s="50">
        <f>N48-277.38</f>
        <v>118.9000000000002</v>
      </c>
      <c r="R48" s="126">
        <f>N48/277.38</f>
        <v>1.4286538322878368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1042.5</v>
      </c>
      <c r="G51" s="135">
        <f t="shared" si="0"/>
        <v>1042.5</v>
      </c>
      <c r="H51" s="137"/>
      <c r="I51" s="136">
        <f t="shared" si="1"/>
        <v>1042.5</v>
      </c>
      <c r="J51" s="136"/>
      <c r="K51" s="219">
        <f>F51-838.39</f>
        <v>204.11</v>
      </c>
      <c r="L51" s="219">
        <f>F51/838.39*100</f>
        <v>124.34547167785877</v>
      </c>
      <c r="M51" s="35">
        <f>E51-вересень!E51</f>
        <v>0</v>
      </c>
      <c r="N51" s="35">
        <f>F51-вересень!F51</f>
        <v>63.299999999999955</v>
      </c>
      <c r="O51" s="138">
        <f t="shared" si="3"/>
        <v>63.299999999999955</v>
      </c>
      <c r="P51" s="136"/>
      <c r="Q51" s="50">
        <f>N51-64.93</f>
        <v>-1.6300000000000523</v>
      </c>
      <c r="R51" s="126">
        <f>N51/64.93</f>
        <v>0.9748960418912667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564697.5900000001</v>
      </c>
      <c r="G55" s="44">
        <f>F55-E55</f>
        <v>28600.250000000116</v>
      </c>
      <c r="H55" s="45">
        <f>F55/E55*100</f>
        <v>105.33489869582269</v>
      </c>
      <c r="I55" s="31">
        <f>F55-D55</f>
        <v>-43257.479999999865</v>
      </c>
      <c r="J55" s="31">
        <f>F55/D55*100</f>
        <v>92.88475709232922</v>
      </c>
      <c r="K55" s="31">
        <f>K8+K33+K53+K54</f>
        <v>152666.498</v>
      </c>
      <c r="L55" s="31">
        <f>F55/(F55-K55)*100</f>
        <v>137.05217906225386</v>
      </c>
      <c r="M55" s="18">
        <f>M8+M33+M53+M54</f>
        <v>50675.44</v>
      </c>
      <c r="N55" s="18">
        <f>N8+N33+N53+N54</f>
        <v>55558.98000000003</v>
      </c>
      <c r="O55" s="49">
        <f>N55-M55</f>
        <v>4883.54000000003</v>
      </c>
      <c r="P55" s="31">
        <f>N55/M55*100</f>
        <v>109.63689708466278</v>
      </c>
      <c r="Q55" s="31">
        <f>N55-34768</f>
        <v>20790.980000000032</v>
      </c>
      <c r="R55" s="171">
        <f>N55/34768</f>
        <v>1.59799183156926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593.12</v>
      </c>
      <c r="G64" s="43">
        <f t="shared" si="10"/>
        <v>-1006.88</v>
      </c>
      <c r="H64" s="35"/>
      <c r="I64" s="53">
        <f t="shared" si="11"/>
        <v>-1906.88</v>
      </c>
      <c r="J64" s="53">
        <f t="shared" si="13"/>
        <v>23.724800000000002</v>
      </c>
      <c r="K64" s="53">
        <f>F64-1754.79</f>
        <v>-1161.67</v>
      </c>
      <c r="L64" s="53">
        <f>F64/1754.79*100</f>
        <v>33.8000558471384</v>
      </c>
      <c r="M64" s="35">
        <f>E64-вересень!E64</f>
        <v>0</v>
      </c>
      <c r="N64" s="35">
        <f>F64-вересень!F64</f>
        <v>0.01999999999998181</v>
      </c>
      <c r="O64" s="47">
        <f t="shared" si="12"/>
        <v>0.01999999999998181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7158.2</v>
      </c>
      <c r="G65" s="43">
        <f t="shared" si="10"/>
        <v>422.22000000000025</v>
      </c>
      <c r="H65" s="35">
        <f>F65/E65*100</f>
        <v>106.26813024979292</v>
      </c>
      <c r="I65" s="53">
        <f t="shared" si="11"/>
        <v>-4417.8</v>
      </c>
      <c r="J65" s="53">
        <f t="shared" si="13"/>
        <v>61.8365583966828</v>
      </c>
      <c r="K65" s="53">
        <f>F65-2762.1</f>
        <v>4396.1</v>
      </c>
      <c r="L65" s="53">
        <f>F65/2762.1*100</f>
        <v>259.15788711487636</v>
      </c>
      <c r="M65" s="35">
        <f>E65-вересень!E65</f>
        <v>1273.8199999999997</v>
      </c>
      <c r="N65" s="35">
        <f>F65-вересень!F65</f>
        <v>3170.5699999999997</v>
      </c>
      <c r="O65" s="47">
        <f t="shared" si="12"/>
        <v>1896.75</v>
      </c>
      <c r="P65" s="53">
        <f>N65/M65*100</f>
        <v>248.9025136989528</v>
      </c>
      <c r="Q65" s="53">
        <f>N65-450.01</f>
        <v>2720.5599999999995</v>
      </c>
      <c r="R65" s="129">
        <f>N65/450.01</f>
        <v>7.045554543232372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1879.52</v>
      </c>
      <c r="G66" s="43">
        <f t="shared" si="10"/>
        <v>546.6199999999999</v>
      </c>
      <c r="H66" s="35">
        <f>F66/E66*100</f>
        <v>141.0098281941631</v>
      </c>
      <c r="I66" s="53">
        <f t="shared" si="11"/>
        <v>-1120.48</v>
      </c>
      <c r="J66" s="53">
        <f t="shared" si="13"/>
        <v>62.650666666666666</v>
      </c>
      <c r="K66" s="53">
        <f>F66-1134.02</f>
        <v>745.5</v>
      </c>
      <c r="L66" s="53">
        <f>F66/1134.02*100</f>
        <v>165.7395813124989</v>
      </c>
      <c r="M66" s="35">
        <f>E66-вересень!E66</f>
        <v>148.10000000000014</v>
      </c>
      <c r="N66" s="35">
        <f>F66-вересень!F66</f>
        <v>20.440000000000055</v>
      </c>
      <c r="O66" s="47">
        <f t="shared" si="12"/>
        <v>-127.66000000000008</v>
      </c>
      <c r="P66" s="53">
        <f>N66/M66*100</f>
        <v>13.801485482781928</v>
      </c>
      <c r="Q66" s="53">
        <f>N66-1.05</f>
        <v>19.390000000000054</v>
      </c>
      <c r="R66" s="129">
        <f>N66/1.05</f>
        <v>19.46666666666672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9630.84</v>
      </c>
      <c r="G67" s="55">
        <f t="shared" si="10"/>
        <v>-38.039999999999054</v>
      </c>
      <c r="H67" s="65">
        <f>F67/E67*100</f>
        <v>99.60657283987392</v>
      </c>
      <c r="I67" s="54">
        <f t="shared" si="11"/>
        <v>-7445.16</v>
      </c>
      <c r="J67" s="54">
        <f t="shared" si="13"/>
        <v>56.39985945186227</v>
      </c>
      <c r="K67" s="54">
        <f>K64+K65+K66</f>
        <v>3979.9300000000003</v>
      </c>
      <c r="L67" s="54"/>
      <c r="M67" s="55">
        <f>M64+M65+M66</f>
        <v>1421.9199999999998</v>
      </c>
      <c r="N67" s="55">
        <f>N64+N65+N66</f>
        <v>3191.0299999999997</v>
      </c>
      <c r="O67" s="54">
        <f t="shared" si="12"/>
        <v>1769.11</v>
      </c>
      <c r="P67" s="54">
        <f>N67/M67*100</f>
        <v>224.41698548441545</v>
      </c>
      <c r="Q67" s="54">
        <f>N67-7985.28</f>
        <v>-4794.25</v>
      </c>
      <c r="R67" s="173">
        <f>N67/7985.28</f>
        <v>0.39961403983329324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1.02</v>
      </c>
      <c r="G70" s="43">
        <f>F70-E70</f>
        <v>1.02</v>
      </c>
      <c r="H70" s="35"/>
      <c r="I70" s="53">
        <f>F70-D70</f>
        <v>1.02</v>
      </c>
      <c r="J70" s="53"/>
      <c r="K70" s="53">
        <f>F70-1.29</f>
        <v>-0.27</v>
      </c>
      <c r="L70" s="53">
        <f>F70/1.29*100</f>
        <v>79.06976744186046</v>
      </c>
      <c r="M70" s="35">
        <f>E70-вересень!E70</f>
        <v>0</v>
      </c>
      <c r="N70" s="35">
        <f>F70-вересень!F70</f>
        <v>0.020000000000000018</v>
      </c>
      <c r="O70" s="47">
        <f>N70-M70</f>
        <v>0.020000000000000018</v>
      </c>
      <c r="P70" s="53"/>
      <c r="Q70" s="53">
        <f>N70-(-0.21)</f>
        <v>0.23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1.37</v>
      </c>
      <c r="G71" s="55">
        <f>F71-E71</f>
        <v>-47.63</v>
      </c>
      <c r="H71" s="65">
        <f>F71/E71*100</f>
        <v>2.795918367346939</v>
      </c>
      <c r="I71" s="54">
        <f>F71-D71</f>
        <v>-52.63</v>
      </c>
      <c r="J71" s="54">
        <f>F71/D71*100</f>
        <v>2.537037037037037</v>
      </c>
      <c r="K71" s="54">
        <f>K68+K69+K70</f>
        <v>-54.410000000000004</v>
      </c>
      <c r="L71" s="54"/>
      <c r="M71" s="55">
        <f>M68+M70+M69</f>
        <v>12</v>
      </c>
      <c r="N71" s="55">
        <f>N68+N70+N69</f>
        <v>0.020000000000000018</v>
      </c>
      <c r="O71" s="54">
        <f>N71-M71</f>
        <v>-11.98</v>
      </c>
      <c r="P71" s="54"/>
      <c r="Q71" s="54">
        <f>N71-26.38</f>
        <v>-26.36</v>
      </c>
      <c r="R71" s="128">
        <f>N71/26.38</f>
        <v>0.0007581501137225178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9607.680000000002</v>
      </c>
      <c r="G74" s="44">
        <f>F74-E74</f>
        <v>-143.61999999999716</v>
      </c>
      <c r="H74" s="45">
        <f>F74/E74*100</f>
        <v>98.52717073620956</v>
      </c>
      <c r="I74" s="31">
        <f>F74-D74</f>
        <v>-7564.319999999998</v>
      </c>
      <c r="J74" s="31">
        <f>F74/D74*100</f>
        <v>55.94968553459121</v>
      </c>
      <c r="K74" s="31">
        <f>K62+K67+K71+K72</f>
        <v>3604.51</v>
      </c>
      <c r="L74" s="31"/>
      <c r="M74" s="27">
        <f>M62+M72+M67+M71</f>
        <v>1435.12</v>
      </c>
      <c r="N74" s="27">
        <f>N62+N72+N67+N71+N73</f>
        <v>3188.7999999999997</v>
      </c>
      <c r="O74" s="31">
        <f>N74-M74</f>
        <v>1753.6799999999998</v>
      </c>
      <c r="P74" s="31">
        <f>N74/M74*100</f>
        <v>222.19744690339485</v>
      </c>
      <c r="Q74" s="31">
        <f>N74-8104.96</f>
        <v>-4916.16</v>
      </c>
      <c r="R74" s="127">
        <f>N74/8104.96</f>
        <v>0.39343809222994314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574305.2700000001</v>
      </c>
      <c r="G75" s="44">
        <f>F75-E75</f>
        <v>28456.63000000012</v>
      </c>
      <c r="H75" s="45">
        <f>F75/E75*100</f>
        <v>105.21328220218706</v>
      </c>
      <c r="I75" s="31">
        <f>F75-D75</f>
        <v>-50821.799999999814</v>
      </c>
      <c r="J75" s="31">
        <f>F75/D75*100</f>
        <v>91.8701648930353</v>
      </c>
      <c r="K75" s="31">
        <f>K55+K74</f>
        <v>156271.008</v>
      </c>
      <c r="L75" s="31">
        <f>F75/(F75-K75)*100</f>
        <v>137.38234451223045</v>
      </c>
      <c r="M75" s="18">
        <f>M55+M74</f>
        <v>52110.560000000005</v>
      </c>
      <c r="N75" s="18">
        <f>N55+N74</f>
        <v>58747.780000000035</v>
      </c>
      <c r="O75" s="31">
        <f>N75-M75</f>
        <v>6637.22000000003</v>
      </c>
      <c r="P75" s="31">
        <f>N75/M75*100</f>
        <v>112.7368042101256</v>
      </c>
      <c r="Q75" s="31">
        <f>N75-42872.96</f>
        <v>15874.820000000036</v>
      </c>
      <c r="R75" s="127">
        <f>N75/42872.96</f>
        <v>1.3702758102076469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42305</v>
      </c>
      <c r="D79" s="34">
        <v>4690.4</v>
      </c>
      <c r="G79" s="4" t="s">
        <v>166</v>
      </c>
      <c r="N79" s="236"/>
      <c r="O79" s="236"/>
    </row>
    <row r="80" spans="3:15" ht="15.75">
      <c r="C80" s="111">
        <v>42304</v>
      </c>
      <c r="D80" s="34">
        <v>4425.5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42303</v>
      </c>
      <c r="D81" s="34">
        <v>2951.6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9.05451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2015-10-29T08:21:44Z</cp:lastPrinted>
  <dcterms:created xsi:type="dcterms:W3CDTF">2003-07-28T11:27:56Z</dcterms:created>
  <dcterms:modified xsi:type="dcterms:W3CDTF">2015-10-29T09:27:46Z</dcterms:modified>
  <cp:category/>
  <cp:version/>
  <cp:contentType/>
  <cp:contentStatus/>
</cp:coreProperties>
</file>